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\VFP\SINOMINA\"/>
    </mc:Choice>
  </mc:AlternateContent>
  <bookViews>
    <workbookView xWindow="0" yWindow="0" windowWidth="16170" windowHeight="5565"/>
  </bookViews>
  <sheets>
    <sheet name="ISR Mensual 2026" sheetId="1" r:id="rId1"/>
  </sheets>
  <definedNames>
    <definedName name="_xlnm.Print_Area" localSheetId="0">'ISR Mensual 2026'!$B$1:$M$55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1" l="1"/>
  <c r="Q45" i="1"/>
  <c r="Q44" i="1"/>
  <c r="I44" i="1"/>
  <c r="I45" i="1" s="1"/>
  <c r="Q43" i="1"/>
  <c r="Q42" i="1"/>
  <c r="Q41" i="1"/>
  <c r="Q40" i="1"/>
  <c r="Q39" i="1"/>
  <c r="Q38" i="1"/>
  <c r="Q37" i="1"/>
  <c r="I33" i="1"/>
  <c r="D29" i="1"/>
  <c r="I31" i="1" s="1"/>
  <c r="I32" i="1" s="1"/>
  <c r="Q27" i="1"/>
  <c r="Q26" i="1"/>
  <c r="Q25" i="1"/>
  <c r="Q24" i="1"/>
  <c r="Q23" i="1"/>
  <c r="Q22" i="1"/>
  <c r="Q21" i="1"/>
  <c r="Q20" i="1"/>
  <c r="Q19" i="1"/>
  <c r="Q18" i="1"/>
  <c r="D2" i="1"/>
  <c r="D4" i="1" s="1"/>
  <c r="I7" i="1" s="1"/>
  <c r="I34" i="1" l="1"/>
  <c r="G35" i="1" s="1"/>
  <c r="G8" i="1"/>
  <c r="I14" i="1"/>
  <c r="I12" i="1"/>
  <c r="I10" i="1"/>
  <c r="I8" i="1"/>
  <c r="I9" i="1" s="1"/>
  <c r="I11" i="1" s="1"/>
  <c r="I51" i="1"/>
  <c r="G51" i="1" s="1"/>
  <c r="I49" i="1"/>
  <c r="I47" i="1"/>
  <c r="I46" i="1"/>
  <c r="I48" i="1" s="1"/>
  <c r="I50" i="1" s="1"/>
  <c r="G46" i="1"/>
  <c r="I52" i="1" l="1"/>
  <c r="I35" i="1"/>
  <c r="I38" i="1"/>
  <c r="I36" i="1"/>
  <c r="I40" i="1"/>
  <c r="G40" i="1" s="1"/>
  <c r="I37" i="1"/>
  <c r="I13" i="1"/>
  <c r="G14" i="1"/>
  <c r="I21" i="1"/>
  <c r="I39" i="1" l="1"/>
  <c r="I41" i="1" s="1"/>
  <c r="I54" i="1" s="1"/>
  <c r="I55" i="1" s="1"/>
  <c r="D42" i="1" s="1"/>
  <c r="I20" i="1"/>
  <c r="I22" i="1" s="1"/>
  <c r="I15" i="1"/>
  <c r="D19" i="1" l="1"/>
  <c r="D59" i="1" s="1"/>
  <c r="D18" i="1"/>
  <c r="D17" i="1"/>
</calcChain>
</file>

<file path=xl/comments1.xml><?xml version="1.0" encoding="utf-8"?>
<comments xmlns="http://schemas.openxmlformats.org/spreadsheetml/2006/main">
  <authors>
    <author>bcg</author>
    <author>Infonexo</author>
  </authors>
  <commentList>
    <comment ref="D31" authorId="0" shapeId="0">
      <text>
        <r>
          <rPr>
            <b/>
            <sz val="8"/>
            <color indexed="81"/>
            <rFont val="Tahoma"/>
            <family val="2"/>
          </rPr>
          <t>bcg:</t>
        </r>
        <r>
          <rPr>
            <sz val="8"/>
            <color indexed="81"/>
            <rFont val="Tahoma"/>
            <family val="2"/>
          </rPr>
          <t xml:space="preserve">
Cuota diaria o CDD</t>
        </r>
      </text>
    </comment>
    <comment ref="D37" authorId="1" shapeId="0">
      <text>
        <r>
          <rPr>
            <b/>
            <sz val="8"/>
            <color indexed="81"/>
            <rFont val="Tahoma"/>
            <family val="2"/>
          </rPr>
          <t>Infonexo:</t>
        </r>
        <r>
          <rPr>
            <sz val="8"/>
            <color indexed="81"/>
            <rFont val="Tahoma"/>
            <family val="2"/>
          </rPr>
          <t xml:space="preserve">
Para finiquitos poner días transcurridos</t>
        </r>
      </text>
    </comment>
  </commentList>
</comments>
</file>

<file path=xl/sharedStrings.xml><?xml version="1.0" encoding="utf-8"?>
<sst xmlns="http://schemas.openxmlformats.org/spreadsheetml/2006/main" count="97" uniqueCount="61">
  <si>
    <t>Percep.Per</t>
  </si>
  <si>
    <t>2026</t>
  </si>
  <si>
    <t>Base Grav.</t>
  </si>
  <si>
    <t>Método de Cálculo: LEY DEL ISR</t>
  </si>
  <si>
    <t>CALCULO DE ISR ART. 96 LISR (antes 113)</t>
  </si>
  <si>
    <t xml:space="preserve"> ISR Mensual</t>
  </si>
  <si>
    <t>Días período</t>
  </si>
  <si>
    <t>Renglón</t>
  </si>
  <si>
    <t>Base Gravable Mensual</t>
  </si>
  <si>
    <t>-</t>
  </si>
  <si>
    <t>Límite Inferior</t>
  </si>
  <si>
    <t xml:space="preserve"> </t>
  </si>
  <si>
    <t>Excedente</t>
  </si>
  <si>
    <t>Días Mes</t>
  </si>
  <si>
    <t>x</t>
  </si>
  <si>
    <t>Porcentaje sobre excedente</t>
  </si>
  <si>
    <t>Impuesto Marginal</t>
  </si>
  <si>
    <t>+</t>
  </si>
  <si>
    <t>Cuota Fija</t>
  </si>
  <si>
    <t>Tabla Mensual 2026</t>
  </si>
  <si>
    <t xml:space="preserve">Impuesto de la tabla </t>
  </si>
  <si>
    <t>Subsidio al Empleo causado</t>
  </si>
  <si>
    <t>ART. 96 (Antes 113)</t>
  </si>
  <si>
    <t>ISR Mensual</t>
  </si>
  <si>
    <t xml:space="preserve">LIMITE </t>
  </si>
  <si>
    <t>LIMITE</t>
  </si>
  <si>
    <t xml:space="preserve">CUOTA </t>
  </si>
  <si>
    <t>% S/EXCED.</t>
  </si>
  <si>
    <t>RENGLON</t>
  </si>
  <si>
    <t>INFERIOR</t>
  </si>
  <si>
    <t>SUPERIOR</t>
  </si>
  <si>
    <t>FIJA</t>
  </si>
  <si>
    <t>DEL LIM. INF.</t>
  </si>
  <si>
    <t xml:space="preserve"> ISR Período</t>
  </si>
  <si>
    <t>Impuesto de la tabla</t>
  </si>
  <si>
    <t>ISR Período</t>
  </si>
  <si>
    <t>ART 174 RLISR (antes 142)</t>
  </si>
  <si>
    <t>Método de Cálculo: REGLAMENTO DE LA LEY DEL ISR</t>
  </si>
  <si>
    <t>Percep.Grav</t>
  </si>
  <si>
    <t>CALCULO DE ISR DE PRIMA VAC./AGUINALDO/PTU</t>
  </si>
  <si>
    <t xml:space="preserve"> ISR (Prima Vacacional y Sueldo Mensual)</t>
  </si>
  <si>
    <t>Salario Diario</t>
  </si>
  <si>
    <t>Base Gravable Prima Vacacional</t>
  </si>
  <si>
    <t>Base Gravable Prima Vacacional Mensual</t>
  </si>
  <si>
    <t>Sueldo Mensual</t>
  </si>
  <si>
    <t>Sub. Emp.</t>
  </si>
  <si>
    <t>Base Gravable mensual</t>
  </si>
  <si>
    <t xml:space="preserve">PARA </t>
  </si>
  <si>
    <t>HASTA</t>
  </si>
  <si>
    <t>SUBSIDIO AL</t>
  </si>
  <si>
    <t>INGRESOS</t>
  </si>
  <si>
    <t>EMPLEO</t>
  </si>
  <si>
    <t>Días Año</t>
  </si>
  <si>
    <t>Con subsidio S/N</t>
  </si>
  <si>
    <t>S</t>
  </si>
  <si>
    <t>Impuesto de la tabla (Prima Vacacional y Sueldo Mensual)</t>
  </si>
  <si>
    <t xml:space="preserve"> ISR (Sueldo Mensual)</t>
  </si>
  <si>
    <t>Impuesto de la tabla (Sueldo Mensual)</t>
  </si>
  <si>
    <t>Diferencia de Impuesto</t>
  </si>
  <si>
    <t>Impuesto de Prima Vacacional</t>
  </si>
  <si>
    <t>ISR Normal+Pvac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</si>
</sst>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#,##0.00_ ;[Red]\-#,##0.00\ "/>
  </numFmts>
  <fonts count="41" x14ac:knownFonts="1">
    <font>
      <sz val="10"/>
      <name val="Arial Narrow"/>
    </font>
    <font>
      <sz val="10"/>
      <name val="Arial Narrow"/>
    </font>
    <font>
      <sz val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color indexed="18"/>
      <name val="Tahoma"/>
      <family val="2"/>
    </font>
    <font>
      <b/>
      <sz val="10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10"/>
      <color rgb="FFFF0000"/>
      <name val="Tahoma"/>
      <family val="2"/>
    </font>
    <font>
      <sz val="10"/>
      <color indexed="18"/>
      <name val="Tahoma"/>
      <family val="2"/>
    </font>
    <font>
      <b/>
      <sz val="10"/>
      <name val="Arial"/>
      <family val="2"/>
    </font>
    <font>
      <b/>
      <sz val="15"/>
      <color indexed="18"/>
      <name val="Tahoma"/>
      <family val="2"/>
    </font>
    <font>
      <sz val="8"/>
      <color indexed="61"/>
      <name val="Arial"/>
      <family val="2"/>
    </font>
    <font>
      <b/>
      <sz val="10"/>
      <color indexed="61"/>
      <name val="Arial Narrow"/>
      <family val="2"/>
    </font>
    <font>
      <b/>
      <sz val="10"/>
      <color indexed="48"/>
      <name val="Tahoma"/>
      <family val="2"/>
    </font>
    <font>
      <b/>
      <sz val="10"/>
      <color theme="0"/>
      <name val="Arial"/>
      <family val="2"/>
    </font>
    <font>
      <sz val="10"/>
      <color indexed="18"/>
      <name val="Arial Narrow"/>
      <family val="2"/>
    </font>
    <font>
      <b/>
      <sz val="10"/>
      <name val="Tahoma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12"/>
      <name val="Tahoma"/>
      <family val="2"/>
    </font>
    <font>
      <b/>
      <sz val="9"/>
      <color indexed="62"/>
      <name val="Arial"/>
      <family val="2"/>
    </font>
    <font>
      <sz val="10"/>
      <color indexed="10"/>
      <name val="Arial Narrow"/>
      <family val="2"/>
    </font>
    <font>
      <b/>
      <sz val="10"/>
      <color indexed="20"/>
      <name val="Tahoma"/>
      <family val="2"/>
    </font>
    <font>
      <sz val="8"/>
      <color indexed="13"/>
      <name val="Arial"/>
      <family val="2"/>
    </font>
    <font>
      <sz val="10"/>
      <color indexed="13"/>
      <name val="Arial Narrow"/>
      <family val="2"/>
    </font>
    <font>
      <b/>
      <sz val="10"/>
      <color indexed="13"/>
      <name val="Arial Narrow"/>
      <family val="2"/>
    </font>
    <font>
      <b/>
      <sz val="10"/>
      <color indexed="13"/>
      <name val="Tahoma"/>
      <family val="2"/>
    </font>
    <font>
      <sz val="10"/>
      <color indexed="13"/>
      <name val="Tahoma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0000FF"/>
      <name val="Arial"/>
      <family val="2"/>
    </font>
    <font>
      <sz val="12"/>
      <name val="Arial Narrow"/>
      <family val="2"/>
    </font>
    <font>
      <sz val="12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12"/>
      </left>
      <right/>
      <top/>
      <bottom style="hair">
        <color indexed="12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963634"/>
      </left>
      <right style="thick">
        <color rgb="FF963634"/>
      </right>
      <top style="thick">
        <color rgb="FF963634"/>
      </top>
      <bottom style="thick">
        <color rgb="FF96363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2" fontId="2" fillId="2" borderId="0" xfId="0" applyNumberFormat="1" applyFont="1" applyFill="1"/>
    <xf numFmtId="2" fontId="2" fillId="0" borderId="0" xfId="0" applyNumberFormat="1" applyFont="1"/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49" fontId="8" fillId="3" borderId="0" xfId="0" applyNumberFormat="1" applyFont="1" applyFill="1" applyAlignment="1">
      <alignment horizontal="center"/>
    </xf>
    <xf numFmtId="2" fontId="2" fillId="2" borderId="0" xfId="0" applyNumberFormat="1" applyFont="1" applyFill="1" applyBorder="1"/>
    <xf numFmtId="2" fontId="2" fillId="0" borderId="0" xfId="0" applyNumberFormat="1" applyFont="1" applyBorder="1"/>
    <xf numFmtId="2" fontId="10" fillId="2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2" fontId="10" fillId="2" borderId="0" xfId="0" applyNumberFormat="1" applyFont="1" applyFill="1" applyAlignment="1">
      <alignment horizontal="center"/>
    </xf>
    <xf numFmtId="4" fontId="13" fillId="0" borderId="0" xfId="0" applyNumberFormat="1" applyFont="1" applyBorder="1"/>
    <xf numFmtId="0" fontId="14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2" fontId="15" fillId="0" borderId="0" xfId="0" applyNumberFormat="1" applyFont="1" applyBorder="1"/>
    <xf numFmtId="164" fontId="16" fillId="0" borderId="0" xfId="0" applyNumberFormat="1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0" fontId="5" fillId="0" borderId="0" xfId="0" applyFont="1" applyBorder="1"/>
    <xf numFmtId="0" fontId="12" fillId="0" borderId="0" xfId="0" applyFont="1" applyBorder="1"/>
    <xf numFmtId="14" fontId="4" fillId="0" borderId="0" xfId="0" applyNumberFormat="1" applyFont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0" borderId="0" xfId="0" applyFont="1" applyFill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9" fillId="0" borderId="0" xfId="0" applyFont="1" applyBorder="1"/>
    <xf numFmtId="0" fontId="6" fillId="0" borderId="3" xfId="0" applyFont="1" applyBorder="1" applyAlignment="1">
      <alignment horizontal="center"/>
    </xf>
    <xf numFmtId="4" fontId="20" fillId="0" borderId="0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left"/>
    </xf>
    <xf numFmtId="0" fontId="12" fillId="0" borderId="4" xfId="0" applyFont="1" applyBorder="1"/>
    <xf numFmtId="1" fontId="21" fillId="0" borderId="0" xfId="0" applyNumberFormat="1" applyFont="1" applyAlignment="1">
      <alignment horizontal="center"/>
    </xf>
    <xf numFmtId="4" fontId="22" fillId="0" borderId="3" xfId="0" applyNumberFormat="1" applyFont="1" applyBorder="1" applyAlignment="1">
      <alignment horizontal="center" vertical="top"/>
    </xf>
    <xf numFmtId="4" fontId="12" fillId="0" borderId="5" xfId="0" applyNumberFormat="1" applyFont="1" applyBorder="1" applyProtection="1">
      <protection hidden="1"/>
    </xf>
    <xf numFmtId="4" fontId="12" fillId="0" borderId="0" xfId="0" applyNumberFormat="1" applyFont="1" applyBorder="1" applyProtection="1">
      <protection hidden="1"/>
    </xf>
    <xf numFmtId="0" fontId="23" fillId="0" borderId="0" xfId="0" applyFont="1" applyBorder="1"/>
    <xf numFmtId="4" fontId="12" fillId="0" borderId="0" xfId="0" applyNumberFormat="1" applyFont="1" applyBorder="1"/>
    <xf numFmtId="43" fontId="12" fillId="0" borderId="0" xfId="1" applyFont="1" applyBorder="1"/>
    <xf numFmtId="164" fontId="4" fillId="0" borderId="0" xfId="0" applyNumberFormat="1" applyFont="1" applyBorder="1"/>
    <xf numFmtId="1" fontId="24" fillId="0" borderId="0" xfId="0" applyNumberFormat="1" applyFont="1" applyAlignment="1">
      <alignment horizontal="center"/>
    </xf>
    <xf numFmtId="4" fontId="22" fillId="0" borderId="3" xfId="0" applyNumberFormat="1" applyFont="1" applyBorder="1" applyAlignment="1">
      <alignment horizontal="center"/>
    </xf>
    <xf numFmtId="4" fontId="12" fillId="0" borderId="5" xfId="0" applyNumberFormat="1" applyFont="1" applyBorder="1"/>
    <xf numFmtId="4" fontId="9" fillId="0" borderId="0" xfId="0" applyNumberFormat="1" applyFont="1" applyBorder="1"/>
    <xf numFmtId="4" fontId="4" fillId="0" borderId="0" xfId="0" applyNumberFormat="1" applyFont="1" applyBorder="1"/>
    <xf numFmtId="0" fontId="12" fillId="0" borderId="4" xfId="0" quotePrefix="1" applyFont="1" applyBorder="1"/>
    <xf numFmtId="0" fontId="12" fillId="0" borderId="0" xfId="0" quotePrefix="1" applyFont="1" applyBorder="1"/>
    <xf numFmtId="0" fontId="25" fillId="0" borderId="0" xfId="0" applyFont="1"/>
    <xf numFmtId="165" fontId="12" fillId="0" borderId="5" xfId="0" applyNumberFormat="1" applyFont="1" applyBorder="1" applyAlignment="1"/>
    <xf numFmtId="165" fontId="12" fillId="0" borderId="0" xfId="0" applyNumberFormat="1" applyFont="1" applyBorder="1"/>
    <xf numFmtId="2" fontId="5" fillId="0" borderId="0" xfId="0" applyNumberFormat="1" applyFont="1" applyFill="1" applyBorder="1" applyProtection="1">
      <protection locked="0"/>
    </xf>
    <xf numFmtId="0" fontId="5" fillId="0" borderId="0" xfId="0" applyFont="1"/>
    <xf numFmtId="4" fontId="26" fillId="0" borderId="0" xfId="0" applyNumberFormat="1" applyFont="1" applyBorder="1" applyAlignment="1">
      <alignment horizontal="right"/>
    </xf>
    <xf numFmtId="4" fontId="5" fillId="0" borderId="6" xfId="0" applyNumberFormat="1" applyFont="1" applyBorder="1"/>
    <xf numFmtId="0" fontId="12" fillId="0" borderId="7" xfId="0" applyFont="1" applyBorder="1" applyAlignment="1">
      <alignment horizontal="center"/>
    </xf>
    <xf numFmtId="0" fontId="4" fillId="0" borderId="8" xfId="0" applyFont="1" applyBorder="1"/>
    <xf numFmtId="0" fontId="2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27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0" xfId="0" applyFont="1" applyBorder="1"/>
    <xf numFmtId="4" fontId="5" fillId="0" borderId="10" xfId="0" applyNumberFormat="1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1" xfId="0" applyFont="1" applyBorder="1"/>
    <xf numFmtId="0" fontId="23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3" fontId="12" fillId="0" borderId="14" xfId="1" applyFont="1" applyBorder="1"/>
    <xf numFmtId="0" fontId="12" fillId="0" borderId="15" xfId="0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0" fontId="23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12" fillId="0" borderId="0" xfId="0" applyFont="1" applyFill="1" applyBorder="1"/>
    <xf numFmtId="2" fontId="2" fillId="0" borderId="3" xfId="0" applyNumberFormat="1" applyFont="1" applyBorder="1"/>
    <xf numFmtId="4" fontId="13" fillId="5" borderId="0" xfId="0" applyNumberFormat="1" applyFont="1" applyFill="1" applyBorder="1" applyAlignment="1">
      <alignment horizontal="center"/>
    </xf>
    <xf numFmtId="2" fontId="2" fillId="0" borderId="9" xfId="0" applyNumberFormat="1" applyFont="1" applyBorder="1"/>
    <xf numFmtId="164" fontId="4" fillId="0" borderId="10" xfId="0" applyNumberFormat="1" applyFont="1" applyBorder="1"/>
    <xf numFmtId="0" fontId="4" fillId="0" borderId="11" xfId="0" applyFont="1" applyBorder="1"/>
    <xf numFmtId="4" fontId="28" fillId="0" borderId="0" xfId="0" applyNumberFormat="1" applyFont="1" applyBorder="1"/>
    <xf numFmtId="0" fontId="28" fillId="0" borderId="0" xfId="0" applyFont="1" applyBorder="1" applyAlignment="1">
      <alignment horizontal="left"/>
    </xf>
    <xf numFmtId="4" fontId="28" fillId="0" borderId="5" xfId="0" applyNumberFormat="1" applyFont="1" applyBorder="1"/>
    <xf numFmtId="4" fontId="28" fillId="6" borderId="17" xfId="0" applyNumberFormat="1" applyFont="1" applyFill="1" applyBorder="1"/>
    <xf numFmtId="4" fontId="28" fillId="0" borderId="0" xfId="0" applyNumberFormat="1" applyFont="1" applyFill="1" applyBorder="1"/>
    <xf numFmtId="4" fontId="12" fillId="0" borderId="10" xfId="0" applyNumberFormat="1" applyFont="1" applyBorder="1"/>
    <xf numFmtId="4" fontId="5" fillId="0" borderId="0" xfId="0" applyNumberFormat="1" applyFont="1" applyAlignment="1">
      <alignment horizontal="center"/>
    </xf>
    <xf numFmtId="4" fontId="12" fillId="0" borderId="0" xfId="0" applyNumberFormat="1" applyFont="1"/>
    <xf numFmtId="1" fontId="12" fillId="0" borderId="12" xfId="0" applyNumberFormat="1" applyFont="1" applyBorder="1" applyAlignment="1">
      <alignment horizontal="center"/>
    </xf>
    <xf numFmtId="2" fontId="29" fillId="2" borderId="0" xfId="0" applyNumberFormat="1" applyFont="1" applyFill="1" applyBorder="1"/>
    <xf numFmtId="164" fontId="30" fillId="2" borderId="0" xfId="0" applyNumberFormat="1" applyFont="1" applyFill="1" applyBorder="1"/>
    <xf numFmtId="0" fontId="30" fillId="2" borderId="0" xfId="0" applyFont="1" applyFill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" fontId="32" fillId="2" borderId="0" xfId="0" applyNumberFormat="1" applyFont="1" applyFill="1" applyBorder="1" applyProtection="1">
      <protection locked="0"/>
    </xf>
    <xf numFmtId="4" fontId="33" fillId="2" borderId="0" xfId="0" applyNumberFormat="1" applyFont="1" applyFill="1"/>
    <xf numFmtId="3" fontId="33" fillId="2" borderId="0" xfId="0" applyNumberFormat="1" applyFont="1" applyFill="1"/>
    <xf numFmtId="0" fontId="33" fillId="2" borderId="0" xfId="0" applyFont="1" applyFill="1"/>
    <xf numFmtId="0" fontId="33" fillId="0" borderId="0" xfId="0" applyFont="1" applyFill="1"/>
    <xf numFmtId="0" fontId="23" fillId="0" borderId="0" xfId="0" applyFont="1"/>
    <xf numFmtId="0" fontId="12" fillId="0" borderId="0" xfId="0" quotePrefix="1" applyFont="1"/>
    <xf numFmtId="164" fontId="34" fillId="0" borderId="0" xfId="0" applyNumberFormat="1" applyFont="1" applyAlignment="1">
      <alignment horizontal="right"/>
    </xf>
    <xf numFmtId="164" fontId="34" fillId="0" borderId="0" xfId="0" applyNumberFormat="1" applyFont="1" applyBorder="1"/>
    <xf numFmtId="0" fontId="35" fillId="4" borderId="1" xfId="0" applyFont="1" applyFill="1" applyBorder="1"/>
    <xf numFmtId="0" fontId="35" fillId="4" borderId="2" xfId="0" applyFont="1" applyFill="1" applyBorder="1"/>
    <xf numFmtId="0" fontId="35" fillId="4" borderId="13" xfId="0" applyFont="1" applyFill="1" applyBorder="1"/>
    <xf numFmtId="0" fontId="35" fillId="0" borderId="0" xfId="0" applyFont="1" applyFill="1" applyBorder="1"/>
    <xf numFmtId="164" fontId="34" fillId="0" borderId="0" xfId="0" applyNumberFormat="1" applyFont="1" applyBorder="1" applyAlignment="1">
      <alignment horizontal="right"/>
    </xf>
    <xf numFmtId="0" fontId="6" fillId="0" borderId="0" xfId="0" applyFont="1"/>
    <xf numFmtId="4" fontId="23" fillId="7" borderId="0" xfId="0" applyNumberFormat="1" applyFont="1" applyFill="1" applyBorder="1"/>
    <xf numFmtId="0" fontId="23" fillId="0" borderId="4" xfId="0" applyFont="1" applyBorder="1"/>
    <xf numFmtId="4" fontId="23" fillId="0" borderId="0" xfId="0" applyNumberFormat="1" applyFont="1" applyBorder="1"/>
    <xf numFmtId="4" fontId="23" fillId="0" borderId="5" xfId="0" applyNumberFormat="1" applyFont="1" applyBorder="1"/>
    <xf numFmtId="0" fontId="12" fillId="0" borderId="8" xfId="0" applyFont="1" applyBorder="1" applyAlignment="1">
      <alignment horizontal="center"/>
    </xf>
    <xf numFmtId="43" fontId="12" fillId="0" borderId="16" xfId="1" applyFont="1" applyBorder="1"/>
    <xf numFmtId="4" fontId="36" fillId="0" borderId="0" xfId="0" applyNumberFormat="1" applyFont="1" applyBorder="1"/>
    <xf numFmtId="0" fontId="37" fillId="0" borderId="0" xfId="0" applyFont="1"/>
    <xf numFmtId="1" fontId="38" fillId="0" borderId="0" xfId="0" applyNumberFormat="1" applyFont="1" applyAlignment="1">
      <alignment horizontal="center"/>
    </xf>
    <xf numFmtId="4" fontId="22" fillId="0" borderId="9" xfId="0" applyNumberFormat="1" applyFont="1" applyBorder="1" applyAlignment="1">
      <alignment horizontal="center"/>
    </xf>
    <xf numFmtId="4" fontId="22" fillId="8" borderId="10" xfId="0" applyNumberFormat="1" applyFont="1" applyFill="1" applyBorder="1"/>
    <xf numFmtId="0" fontId="23" fillId="0" borderId="10" xfId="0" applyFont="1" applyBorder="1"/>
    <xf numFmtId="0" fontId="23" fillId="0" borderId="11" xfId="0" applyFont="1" applyBorder="1"/>
    <xf numFmtId="4" fontId="13" fillId="6" borderId="0" xfId="0" applyNumberFormat="1" applyFont="1" applyFill="1" applyBorder="1"/>
    <xf numFmtId="4" fontId="23" fillId="0" borderId="0" xfId="0" applyNumberFormat="1" applyFont="1"/>
    <xf numFmtId="164" fontId="34" fillId="0" borderId="0" xfId="0" applyNumberFormat="1" applyFont="1"/>
    <xf numFmtId="164" fontId="4" fillId="0" borderId="0" xfId="0" applyNumberFormat="1" applyFont="1"/>
    <xf numFmtId="0" fontId="34" fillId="0" borderId="0" xfId="0" applyFont="1"/>
    <xf numFmtId="4" fontId="22" fillId="0" borderId="0" xfId="0" applyNumberFormat="1" applyFont="1" applyBorder="1"/>
    <xf numFmtId="4" fontId="22" fillId="0" borderId="5" xfId="0" applyNumberFormat="1" applyFont="1" applyBorder="1"/>
    <xf numFmtId="4" fontId="34" fillId="0" borderId="0" xfId="0" applyNumberFormat="1" applyFont="1"/>
    <xf numFmtId="4" fontId="22" fillId="8" borderId="0" xfId="0" applyNumberFormat="1" applyFont="1" applyFill="1"/>
    <xf numFmtId="4" fontId="22" fillId="6" borderId="18" xfId="0" applyNumberFormat="1" applyFont="1" applyFill="1" applyBorder="1"/>
    <xf numFmtId="4" fontId="22" fillId="6" borderId="0" xfId="0" applyNumberFormat="1" applyFont="1" applyFill="1" applyBorder="1"/>
    <xf numFmtId="4" fontId="13" fillId="0" borderId="0" xfId="0" applyNumberFormat="1" applyFont="1"/>
    <xf numFmtId="4" fontId="4" fillId="0" borderId="0" xfId="0" applyNumberFormat="1" applyFont="1"/>
    <xf numFmtId="4" fontId="9" fillId="0" borderId="19" xfId="0" applyNumberFormat="1" applyFont="1" applyBorder="1"/>
    <xf numFmtId="164" fontId="36" fillId="0" borderId="19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84"/>
  <sheetViews>
    <sheetView showGridLines="0" tabSelected="1" zoomScaleNormal="100" workbookViewId="0">
      <selection activeCell="F2" sqref="F2"/>
    </sheetView>
  </sheetViews>
  <sheetFormatPr baseColWidth="10" defaultRowHeight="12.75" x14ac:dyDescent="0.2"/>
  <cols>
    <col min="1" max="1" width="2.83203125" style="1" customWidth="1"/>
    <col min="2" max="2" width="0.6640625" style="2" customWidth="1"/>
    <col min="3" max="3" width="1.6640625" style="2" customWidth="1"/>
    <col min="4" max="4" width="18.83203125" style="134" customWidth="1"/>
    <col min="5" max="5" width="1.33203125" style="4" customWidth="1"/>
    <col min="6" max="6" width="4" style="4" customWidth="1"/>
    <col min="7" max="7" width="7.83203125" style="6" bestFit="1" customWidth="1"/>
    <col min="8" max="8" width="2.5" style="7" bestFit="1" customWidth="1"/>
    <col min="9" max="9" width="16.1640625" style="4" customWidth="1"/>
    <col min="10" max="10" width="1.5" style="4" customWidth="1"/>
    <col min="11" max="11" width="16.6640625" style="4" bestFit="1" customWidth="1"/>
    <col min="12" max="12" width="15.5" style="4" customWidth="1"/>
    <col min="13" max="13" width="26" style="4" customWidth="1"/>
    <col min="14" max="15" width="10" style="4" customWidth="1"/>
    <col min="16" max="16" width="11.5" style="6" customWidth="1"/>
    <col min="17" max="17" width="15.1640625" style="4" customWidth="1"/>
    <col min="18" max="18" width="16.6640625" style="4" bestFit="1" customWidth="1"/>
    <col min="19" max="19" width="13.5" style="4" bestFit="1" customWidth="1"/>
    <col min="20" max="20" width="13.5" style="4" customWidth="1"/>
    <col min="21" max="16384" width="12" style="4"/>
  </cols>
  <sheetData>
    <row r="1" spans="1:21" ht="15" customHeight="1" thickBot="1" x14ac:dyDescent="0.3">
      <c r="D1" s="3" t="s">
        <v>0</v>
      </c>
      <c r="F1" s="5"/>
      <c r="I1" s="8"/>
      <c r="J1" s="8"/>
      <c r="K1" s="9" t="s">
        <v>1</v>
      </c>
      <c r="L1" s="8"/>
    </row>
    <row r="2" spans="1:21" ht="14.25" thickTop="1" thickBot="1" x14ac:dyDescent="0.25">
      <c r="A2" s="10"/>
      <c r="B2" s="11"/>
      <c r="C2" s="11"/>
      <c r="D2" s="144">
        <f>315.04*7</f>
        <v>2205.2800000000002</v>
      </c>
    </row>
    <row r="3" spans="1:21" ht="12.75" customHeight="1" thickTop="1" x14ac:dyDescent="0.2">
      <c r="A3" s="12"/>
      <c r="B3" s="13"/>
      <c r="C3" s="13"/>
      <c r="D3" s="14" t="s">
        <v>2</v>
      </c>
      <c r="E3" s="15"/>
      <c r="F3" s="15"/>
      <c r="G3" s="15"/>
      <c r="I3" s="16" t="s">
        <v>3</v>
      </c>
      <c r="K3" s="17"/>
      <c r="L3" s="17"/>
      <c r="M3" s="17"/>
      <c r="N3" s="17"/>
      <c r="O3" s="17"/>
      <c r="P3" s="18"/>
      <c r="R3" s="17"/>
      <c r="S3" s="17"/>
      <c r="T3" s="17"/>
    </row>
    <row r="4" spans="1:21" ht="12.75" customHeight="1" x14ac:dyDescent="0.25">
      <c r="A4" s="19"/>
      <c r="B4" s="11"/>
      <c r="C4" s="11"/>
      <c r="D4" s="20">
        <f>(D2/D8*D11)</f>
        <v>9577.2160000000003</v>
      </c>
      <c r="E4" s="15"/>
      <c r="F4" s="15"/>
      <c r="I4" s="5" t="s">
        <v>4</v>
      </c>
      <c r="J4" s="5"/>
      <c r="K4" s="21"/>
      <c r="M4" s="22"/>
      <c r="N4" s="22"/>
      <c r="O4" s="22"/>
      <c r="P4" s="18"/>
      <c r="Q4" s="17"/>
      <c r="R4" s="17"/>
      <c r="S4" s="17"/>
      <c r="T4" s="17"/>
    </row>
    <row r="5" spans="1:21" ht="12.75" customHeight="1" x14ac:dyDescent="0.2">
      <c r="A5" s="10"/>
      <c r="B5" s="11"/>
      <c r="C5" s="23"/>
      <c r="D5" s="24"/>
      <c r="E5" s="6"/>
      <c r="F5" s="7"/>
      <c r="I5" s="25"/>
      <c r="J5" s="25"/>
      <c r="K5" s="17"/>
      <c r="L5" s="26"/>
      <c r="M5" s="17"/>
      <c r="N5" s="17"/>
      <c r="O5" s="17"/>
      <c r="P5" s="18"/>
      <c r="Q5" s="27"/>
      <c r="R5" s="28"/>
      <c r="S5" s="28"/>
      <c r="T5" s="28"/>
    </row>
    <row r="6" spans="1:21" x14ac:dyDescent="0.2">
      <c r="A6" s="10"/>
      <c r="B6" s="11"/>
      <c r="C6" s="11"/>
      <c r="D6" s="29"/>
      <c r="E6" s="6"/>
      <c r="F6" s="6"/>
      <c r="H6" s="30" t="s">
        <v>5</v>
      </c>
      <c r="I6" s="31"/>
      <c r="J6" s="31"/>
      <c r="K6" s="31"/>
      <c r="L6" s="31"/>
      <c r="M6" s="31"/>
      <c r="N6" s="32"/>
      <c r="O6" s="32"/>
      <c r="P6" s="18"/>
      <c r="Q6" s="33"/>
      <c r="R6" s="33"/>
      <c r="S6" s="33"/>
      <c r="T6" s="34"/>
    </row>
    <row r="7" spans="1:21" ht="13.5" thickBot="1" x14ac:dyDescent="0.25">
      <c r="A7" s="10"/>
      <c r="B7" s="11"/>
      <c r="C7" s="11"/>
      <c r="D7" s="14" t="s">
        <v>6</v>
      </c>
      <c r="E7" s="6"/>
      <c r="F7" s="6"/>
      <c r="G7" s="35" t="s">
        <v>7</v>
      </c>
      <c r="H7" s="36"/>
      <c r="I7" s="37">
        <f>D4</f>
        <v>9577.2160000000003</v>
      </c>
      <c r="J7" s="37"/>
      <c r="K7" s="38" t="s">
        <v>8</v>
      </c>
      <c r="L7" s="28"/>
      <c r="M7" s="39"/>
      <c r="N7" s="28"/>
      <c r="O7" s="28"/>
      <c r="P7" s="18"/>
      <c r="Q7" s="33"/>
      <c r="R7" s="33"/>
      <c r="S7" s="33"/>
      <c r="T7" s="34"/>
    </row>
    <row r="8" spans="1:21" ht="14.25" thickTop="1" thickBot="1" x14ac:dyDescent="0.25">
      <c r="A8" s="10"/>
      <c r="B8" s="11"/>
      <c r="C8" s="11"/>
      <c r="D8" s="144">
        <v>7</v>
      </c>
      <c r="E8" s="6"/>
      <c r="F8" s="6"/>
      <c r="G8" s="40">
        <f>VLOOKUP(I7,Q17:U27,5)</f>
        <v>3</v>
      </c>
      <c r="H8" s="41" t="s">
        <v>9</v>
      </c>
      <c r="I8" s="42">
        <f>VLOOKUP(I7,Q17:R27,1)</f>
        <v>7168.52</v>
      </c>
      <c r="J8" s="43"/>
      <c r="K8" s="44" t="s">
        <v>10</v>
      </c>
      <c r="L8" s="45" t="s">
        <v>11</v>
      </c>
      <c r="M8" s="39"/>
      <c r="N8" s="28"/>
      <c r="O8" s="28"/>
      <c r="P8" s="18"/>
      <c r="Q8" s="46"/>
      <c r="R8" s="46"/>
      <c r="S8" s="46"/>
      <c r="T8" s="33"/>
    </row>
    <row r="9" spans="1:21" ht="13.5" thickTop="1" x14ac:dyDescent="0.2">
      <c r="A9" s="10"/>
      <c r="B9" s="11"/>
      <c r="C9" s="11"/>
      <c r="D9" s="47"/>
      <c r="E9" s="6"/>
      <c r="F9" s="6"/>
      <c r="G9" s="48"/>
      <c r="H9" s="36"/>
      <c r="I9" s="43">
        <f>+I7-I8</f>
        <v>2408.6959999999999</v>
      </c>
      <c r="J9" s="43"/>
      <c r="K9" s="34" t="s">
        <v>12</v>
      </c>
      <c r="L9" s="28"/>
      <c r="M9" s="39"/>
      <c r="N9" s="28"/>
      <c r="O9" s="28"/>
      <c r="P9" s="18"/>
      <c r="Q9" s="46"/>
      <c r="R9" s="46"/>
      <c r="S9" s="46"/>
      <c r="T9" s="33"/>
    </row>
    <row r="10" spans="1:21" ht="13.5" thickBot="1" x14ac:dyDescent="0.25">
      <c r="A10" s="10"/>
      <c r="B10" s="11"/>
      <c r="C10" s="11"/>
      <c r="D10" s="14" t="s">
        <v>13</v>
      </c>
      <c r="E10" s="6"/>
      <c r="F10" s="6"/>
      <c r="G10" s="48"/>
      <c r="H10" s="49" t="s">
        <v>14</v>
      </c>
      <c r="I10" s="50">
        <f>VLOOKUP(I7,Q17:T27,4)</f>
        <v>10.88</v>
      </c>
      <c r="J10" s="45"/>
      <c r="K10" s="44" t="s">
        <v>15</v>
      </c>
      <c r="L10" s="28"/>
      <c r="M10" s="39"/>
      <c r="N10" s="28"/>
      <c r="O10" s="28"/>
      <c r="P10" s="18"/>
      <c r="Q10" s="46"/>
      <c r="R10" s="46"/>
      <c r="S10" s="46"/>
      <c r="T10" s="33"/>
    </row>
    <row r="11" spans="1:21" x14ac:dyDescent="0.2">
      <c r="A11" s="10"/>
      <c r="B11" s="11"/>
      <c r="C11" s="11"/>
      <c r="D11" s="51">
        <v>30.4</v>
      </c>
      <c r="E11" s="6"/>
      <c r="F11" s="6"/>
      <c r="G11" s="48"/>
      <c r="H11" s="36"/>
      <c r="I11" s="45">
        <f>I9*(I10/100)</f>
        <v>262.06612480000001</v>
      </c>
      <c r="J11" s="45"/>
      <c r="K11" s="44" t="s">
        <v>16</v>
      </c>
      <c r="L11" s="45"/>
      <c r="M11" s="39"/>
      <c r="N11" s="28"/>
      <c r="O11" s="28"/>
      <c r="P11" s="18"/>
      <c r="Q11" s="46"/>
      <c r="R11" s="46"/>
      <c r="S11" s="46"/>
      <c r="T11" s="33"/>
    </row>
    <row r="12" spans="1:21" ht="13.5" thickBot="1" x14ac:dyDescent="0.25">
      <c r="A12" s="10"/>
      <c r="B12" s="11"/>
      <c r="C12" s="11"/>
      <c r="D12" s="52"/>
      <c r="E12" s="6"/>
      <c r="F12" s="6"/>
      <c r="G12" s="48"/>
      <c r="H12" s="49" t="s">
        <v>17</v>
      </c>
      <c r="I12" s="50">
        <f>VLOOKUP(I7,Q17:T27,3)</f>
        <v>420.95</v>
      </c>
      <c r="J12" s="45"/>
      <c r="K12" s="44" t="s">
        <v>18</v>
      </c>
      <c r="L12" s="45"/>
      <c r="M12" s="53"/>
      <c r="N12" s="54"/>
      <c r="O12" s="54"/>
      <c r="P12" s="18"/>
      <c r="Q12" s="55" t="s">
        <v>19</v>
      </c>
      <c r="R12" s="46"/>
      <c r="S12" s="46"/>
      <c r="T12" s="33"/>
    </row>
    <row r="13" spans="1:21" x14ac:dyDescent="0.2">
      <c r="A13" s="10"/>
      <c r="B13" s="11"/>
      <c r="C13" s="11"/>
      <c r="D13" s="52"/>
      <c r="E13" s="6"/>
      <c r="F13" s="6"/>
      <c r="G13" s="48"/>
      <c r="H13" s="36"/>
      <c r="I13" s="45">
        <f>I12+I11</f>
        <v>683.01612479999994</v>
      </c>
      <c r="J13" s="45"/>
      <c r="K13" s="44" t="s">
        <v>20</v>
      </c>
      <c r="L13" s="45"/>
      <c r="M13" s="39"/>
      <c r="N13" s="28"/>
      <c r="O13" s="28"/>
      <c r="P13" s="18"/>
      <c r="Q13" s="17"/>
      <c r="R13" s="17"/>
      <c r="S13" s="17"/>
      <c r="T13" s="17"/>
    </row>
    <row r="14" spans="1:21" ht="13.5" thickBot="1" x14ac:dyDescent="0.25">
      <c r="A14" s="10"/>
      <c r="B14" s="11"/>
      <c r="C14" s="11"/>
      <c r="D14" s="52"/>
      <c r="E14" s="6"/>
      <c r="F14" s="6"/>
      <c r="G14" s="40">
        <f>IF(I14&lt;&gt;0,1,2)</f>
        <v>1</v>
      </c>
      <c r="H14" s="41" t="s">
        <v>9</v>
      </c>
      <c r="I14" s="56">
        <f>VLOOKUP(I7,Q36:S46,3)</f>
        <v>536.22</v>
      </c>
      <c r="J14" s="57"/>
      <c r="K14" s="44" t="s">
        <v>21</v>
      </c>
      <c r="L14" s="58"/>
      <c r="M14" s="39"/>
      <c r="N14" s="28"/>
      <c r="O14" s="28"/>
      <c r="P14" s="18"/>
      <c r="Q14" s="59" t="s">
        <v>22</v>
      </c>
      <c r="R14" s="17"/>
      <c r="S14" s="17"/>
      <c r="T14" s="17"/>
    </row>
    <row r="15" spans="1:21" x14ac:dyDescent="0.2">
      <c r="A15" s="10"/>
      <c r="B15" s="11"/>
      <c r="C15" s="11"/>
      <c r="D15" s="60"/>
      <c r="E15" s="6"/>
      <c r="F15" s="6"/>
      <c r="G15" s="40"/>
      <c r="H15" s="36"/>
      <c r="I15" s="61">
        <f>I13-I14</f>
        <v>146.79612479999992</v>
      </c>
      <c r="J15" s="57"/>
      <c r="K15" s="38" t="s">
        <v>23</v>
      </c>
      <c r="L15" s="45"/>
      <c r="M15" s="39"/>
      <c r="N15" s="28"/>
      <c r="O15" s="28"/>
      <c r="P15" s="18"/>
      <c r="Q15" s="62" t="s">
        <v>24</v>
      </c>
      <c r="R15" s="62" t="s">
        <v>25</v>
      </c>
      <c r="S15" s="62" t="s">
        <v>26</v>
      </c>
      <c r="T15" s="17" t="s">
        <v>27</v>
      </c>
      <c r="U15" s="63"/>
    </row>
    <row r="16" spans="1:21" x14ac:dyDescent="0.2">
      <c r="A16" s="10"/>
      <c r="B16" s="11"/>
      <c r="C16" s="11"/>
      <c r="D16" s="64"/>
      <c r="E16" s="65"/>
      <c r="F16" s="6"/>
      <c r="G16" s="66"/>
      <c r="H16" s="67"/>
      <c r="I16" s="68"/>
      <c r="J16" s="69"/>
      <c r="K16" s="68"/>
      <c r="L16" s="70"/>
      <c r="M16" s="71"/>
      <c r="N16" s="28"/>
      <c r="O16" s="28"/>
      <c r="P16" s="18" t="s">
        <v>28</v>
      </c>
      <c r="Q16" s="62" t="s">
        <v>29</v>
      </c>
      <c r="R16" s="62" t="s">
        <v>30</v>
      </c>
      <c r="S16" s="62" t="s">
        <v>31</v>
      </c>
      <c r="T16" s="17" t="s">
        <v>32</v>
      </c>
      <c r="U16" s="72" t="s">
        <v>28</v>
      </c>
    </row>
    <row r="17" spans="1:21" x14ac:dyDescent="0.2">
      <c r="A17" s="10"/>
      <c r="B17" s="73"/>
      <c r="C17" s="74"/>
      <c r="D17" s="75" t="str">
        <f>IF(I22&gt;=0,"Impuesto Retenido","Subsidio al Empleo")</f>
        <v>Impuesto Retenido</v>
      </c>
      <c r="E17" s="76"/>
      <c r="F17" s="64"/>
      <c r="G17" s="66"/>
      <c r="I17" s="17"/>
      <c r="J17" s="17"/>
      <c r="K17" s="17"/>
      <c r="L17" s="17"/>
      <c r="M17" s="17"/>
      <c r="N17" s="17"/>
      <c r="O17" s="17"/>
      <c r="P17" s="18">
        <v>1</v>
      </c>
      <c r="Q17" s="77">
        <v>0.01</v>
      </c>
      <c r="R17" s="77">
        <v>844.59</v>
      </c>
      <c r="S17" s="77">
        <v>0</v>
      </c>
      <c r="T17" s="78">
        <v>1.92</v>
      </c>
      <c r="U17" s="79">
        <v>1</v>
      </c>
    </row>
    <row r="18" spans="1:21" x14ac:dyDescent="0.2">
      <c r="A18" s="10"/>
      <c r="B18" s="44"/>
      <c r="C18" s="80"/>
      <c r="D18" s="64" t="str">
        <f>CONCATENATE(IF(I22&gt;=0,"","Pagado "),"del Período")</f>
        <v>del Período</v>
      </c>
      <c r="E18" s="81"/>
      <c r="F18" s="82"/>
      <c r="I18" s="83"/>
      <c r="J18" s="83"/>
      <c r="K18" s="83"/>
      <c r="L18" s="83"/>
      <c r="M18" s="17"/>
      <c r="N18" s="17"/>
      <c r="O18" s="17"/>
      <c r="P18" s="18">
        <v>2</v>
      </c>
      <c r="Q18" s="77">
        <f t="shared" ref="Q18:Q27" si="0">+R17+0.01</f>
        <v>844.6</v>
      </c>
      <c r="R18" s="77">
        <v>7168.51</v>
      </c>
      <c r="S18" s="77">
        <v>16.22</v>
      </c>
      <c r="T18" s="78">
        <v>6.4</v>
      </c>
      <c r="U18" s="79">
        <v>2</v>
      </c>
    </row>
    <row r="19" spans="1:21" x14ac:dyDescent="0.2">
      <c r="A19" s="10"/>
      <c r="B19" s="11"/>
      <c r="C19" s="84"/>
      <c r="D19" s="85">
        <f>I22*IF(I22&gt;=0,1,-1)</f>
        <v>33.800000000000011</v>
      </c>
      <c r="E19" s="81"/>
      <c r="F19" s="82"/>
      <c r="H19" s="30" t="s">
        <v>33</v>
      </c>
      <c r="I19" s="30"/>
      <c r="J19" s="31"/>
      <c r="K19" s="31"/>
      <c r="L19" s="31"/>
      <c r="M19" s="31"/>
      <c r="N19" s="32"/>
      <c r="O19" s="32"/>
      <c r="P19" s="18">
        <v>3</v>
      </c>
      <c r="Q19" s="77">
        <f t="shared" si="0"/>
        <v>7168.52</v>
      </c>
      <c r="R19" s="77">
        <v>12598.02</v>
      </c>
      <c r="S19" s="77">
        <v>420.95</v>
      </c>
      <c r="T19" s="78">
        <v>10.88</v>
      </c>
      <c r="U19" s="79">
        <v>3</v>
      </c>
    </row>
    <row r="20" spans="1:21" x14ac:dyDescent="0.2">
      <c r="A20" s="10"/>
      <c r="B20" s="11"/>
      <c r="C20" s="86"/>
      <c r="D20" s="87"/>
      <c r="E20" s="88"/>
      <c r="F20" s="82"/>
      <c r="H20" s="36"/>
      <c r="I20" s="89">
        <f>ROUND(I13/D11*D8,2)</f>
        <v>157.27000000000001</v>
      </c>
      <c r="J20" s="89"/>
      <c r="K20" s="90" t="s">
        <v>34</v>
      </c>
      <c r="L20" s="28"/>
      <c r="M20" s="39"/>
      <c r="N20" s="28"/>
      <c r="O20" s="28"/>
      <c r="P20" s="18">
        <v>4</v>
      </c>
      <c r="Q20" s="77">
        <f t="shared" si="0"/>
        <v>12598.03</v>
      </c>
      <c r="R20" s="77">
        <v>14644.64</v>
      </c>
      <c r="S20" s="77">
        <v>1011.68</v>
      </c>
      <c r="T20" s="78">
        <v>16</v>
      </c>
      <c r="U20" s="79">
        <v>4</v>
      </c>
    </row>
    <row r="21" spans="1:21" ht="13.5" thickBot="1" x14ac:dyDescent="0.25">
      <c r="A21" s="10"/>
      <c r="B21" s="11"/>
      <c r="C21" s="11"/>
      <c r="D21" s="47"/>
      <c r="H21" s="49" t="s">
        <v>9</v>
      </c>
      <c r="I21" s="91">
        <f>ROUND(I14/D11*D8,2)</f>
        <v>123.47</v>
      </c>
      <c r="J21" s="89"/>
      <c r="K21" s="90" t="s">
        <v>21</v>
      </c>
      <c r="L21" s="33"/>
      <c r="M21" s="39"/>
      <c r="N21" s="28"/>
      <c r="O21" s="28"/>
      <c r="P21" s="18">
        <v>5</v>
      </c>
      <c r="Q21" s="77">
        <f t="shared" si="0"/>
        <v>14644.65</v>
      </c>
      <c r="R21" s="77">
        <v>17533.64</v>
      </c>
      <c r="S21" s="77">
        <v>1339.14</v>
      </c>
      <c r="T21" s="78">
        <v>17.920000000000002</v>
      </c>
      <c r="U21" s="79">
        <v>5</v>
      </c>
    </row>
    <row r="22" spans="1:21" ht="13.5" thickBot="1" x14ac:dyDescent="0.25">
      <c r="A22" s="10"/>
      <c r="B22" s="11"/>
      <c r="C22" s="11"/>
      <c r="D22" s="47"/>
      <c r="H22" s="36"/>
      <c r="I22" s="92">
        <f>I20-I21</f>
        <v>33.800000000000011</v>
      </c>
      <c r="J22" s="93"/>
      <c r="K22" s="89" t="s">
        <v>35</v>
      </c>
      <c r="L22" s="45"/>
      <c r="M22" s="39"/>
      <c r="N22" s="28"/>
      <c r="O22" s="28"/>
      <c r="P22" s="18">
        <v>6</v>
      </c>
      <c r="Q22" s="77">
        <f t="shared" si="0"/>
        <v>17533.649999999998</v>
      </c>
      <c r="R22" s="77">
        <v>35362.83</v>
      </c>
      <c r="S22" s="77">
        <v>1856.84</v>
      </c>
      <c r="T22" s="78">
        <v>21.36</v>
      </c>
      <c r="U22" s="79">
        <v>6</v>
      </c>
    </row>
    <row r="23" spans="1:21" ht="13.5" thickTop="1" x14ac:dyDescent="0.2">
      <c r="A23" s="10"/>
      <c r="B23" s="11"/>
      <c r="C23" s="11"/>
      <c r="D23" s="47"/>
      <c r="H23" s="67"/>
      <c r="I23" s="94"/>
      <c r="J23" s="94"/>
      <c r="K23" s="94"/>
      <c r="L23" s="94"/>
      <c r="M23" s="71"/>
      <c r="N23" s="28"/>
      <c r="O23" s="28"/>
      <c r="P23" s="18">
        <v>7</v>
      </c>
      <c r="Q23" s="77">
        <f t="shared" si="0"/>
        <v>35362.840000000004</v>
      </c>
      <c r="R23" s="77">
        <v>55736.68</v>
      </c>
      <c r="S23" s="77">
        <v>5665.16</v>
      </c>
      <c r="T23" s="78">
        <v>23.52</v>
      </c>
      <c r="U23" s="79">
        <v>7</v>
      </c>
    </row>
    <row r="24" spans="1:21" x14ac:dyDescent="0.2">
      <c r="A24" s="10"/>
      <c r="B24" s="11"/>
      <c r="C24" s="11"/>
      <c r="D24" s="47"/>
      <c r="I24" s="95"/>
      <c r="J24" s="95"/>
      <c r="K24" s="96"/>
      <c r="L24" s="96"/>
      <c r="M24" s="17"/>
      <c r="N24" s="17"/>
      <c r="O24" s="17"/>
      <c r="P24" s="18">
        <v>8</v>
      </c>
      <c r="Q24" s="77">
        <f t="shared" si="0"/>
        <v>55736.69</v>
      </c>
      <c r="R24" s="77">
        <v>106410.5</v>
      </c>
      <c r="S24" s="77">
        <v>10457.09</v>
      </c>
      <c r="T24" s="78">
        <v>30</v>
      </c>
      <c r="U24" s="97">
        <v>8</v>
      </c>
    </row>
    <row r="25" spans="1:21" x14ac:dyDescent="0.2">
      <c r="A25" s="10"/>
      <c r="B25" s="11"/>
      <c r="C25" s="11"/>
      <c r="D25" s="47"/>
      <c r="I25" s="95"/>
      <c r="J25" s="95"/>
      <c r="K25" s="96"/>
      <c r="L25" s="96"/>
      <c r="M25" s="17"/>
      <c r="N25" s="17"/>
      <c r="O25" s="17"/>
      <c r="P25" s="18">
        <v>9</v>
      </c>
      <c r="Q25" s="77">
        <f t="shared" si="0"/>
        <v>106410.51</v>
      </c>
      <c r="R25" s="77">
        <v>141880.66</v>
      </c>
      <c r="S25" s="77">
        <v>25659.23</v>
      </c>
      <c r="T25" s="78">
        <v>32</v>
      </c>
      <c r="U25" s="97">
        <v>9</v>
      </c>
    </row>
    <row r="26" spans="1:21" x14ac:dyDescent="0.2">
      <c r="A26" s="10"/>
      <c r="B26" s="98"/>
      <c r="C26" s="98"/>
      <c r="D26" s="99"/>
      <c r="E26" s="100"/>
      <c r="F26" s="100"/>
      <c r="G26" s="101"/>
      <c r="H26" s="102"/>
      <c r="I26" s="103"/>
      <c r="J26" s="103"/>
      <c r="K26" s="104"/>
      <c r="L26" s="105"/>
      <c r="M26" s="106"/>
      <c r="N26" s="107"/>
      <c r="O26" s="107"/>
      <c r="P26" s="18">
        <v>10</v>
      </c>
      <c r="Q26" s="77">
        <f t="shared" si="0"/>
        <v>141880.67000000001</v>
      </c>
      <c r="R26" s="77">
        <v>425641.99</v>
      </c>
      <c r="S26" s="77">
        <v>37009.69</v>
      </c>
      <c r="T26" s="78">
        <v>34</v>
      </c>
      <c r="U26" s="97">
        <v>10</v>
      </c>
    </row>
    <row r="27" spans="1:21" x14ac:dyDescent="0.2">
      <c r="A27" s="10"/>
      <c r="B27" s="11"/>
      <c r="C27" s="11"/>
      <c r="D27" s="5" t="s">
        <v>36</v>
      </c>
      <c r="I27" s="16" t="s">
        <v>37</v>
      </c>
      <c r="J27" s="108"/>
      <c r="K27" s="109"/>
      <c r="L27" s="96"/>
      <c r="M27" s="17"/>
      <c r="N27" s="17"/>
      <c r="O27" s="17"/>
      <c r="P27" s="18">
        <v>11</v>
      </c>
      <c r="Q27" s="77">
        <f t="shared" si="0"/>
        <v>425642</v>
      </c>
      <c r="R27" s="77">
        <v>99999999</v>
      </c>
      <c r="S27" s="77">
        <v>133488.54</v>
      </c>
      <c r="T27" s="78">
        <v>35</v>
      </c>
      <c r="U27" s="97">
        <v>11</v>
      </c>
    </row>
    <row r="28" spans="1:21" ht="13.5" thickBot="1" x14ac:dyDescent="0.25">
      <c r="A28" s="10"/>
      <c r="B28" s="11"/>
      <c r="C28" s="11"/>
      <c r="D28" s="110" t="s">
        <v>38</v>
      </c>
      <c r="I28" s="5" t="s">
        <v>39</v>
      </c>
      <c r="J28" s="5"/>
      <c r="K28" s="17"/>
      <c r="L28" s="17"/>
      <c r="M28" s="17"/>
      <c r="N28" s="17"/>
      <c r="O28" s="17"/>
    </row>
    <row r="29" spans="1:21" ht="14.25" thickTop="1" thickBot="1" x14ac:dyDescent="0.25">
      <c r="A29" s="10"/>
      <c r="B29" s="11"/>
      <c r="C29" s="11"/>
      <c r="D29" s="144">
        <f>4450.05-3257.1</f>
        <v>1192.9500000000003</v>
      </c>
      <c r="K29" s="108"/>
      <c r="L29" s="108"/>
      <c r="M29" s="108"/>
      <c r="N29" s="108"/>
      <c r="O29" s="108"/>
    </row>
    <row r="30" spans="1:21" ht="13.5" thickTop="1" x14ac:dyDescent="0.2">
      <c r="A30" s="10"/>
      <c r="B30" s="11"/>
      <c r="C30" s="11"/>
      <c r="D30" s="111"/>
      <c r="H30" s="31" t="s">
        <v>40</v>
      </c>
      <c r="I30" s="112"/>
      <c r="J30" s="113"/>
      <c r="K30" s="114"/>
      <c r="L30" s="113"/>
      <c r="M30" s="114"/>
      <c r="N30" s="115"/>
      <c r="O30" s="115"/>
    </row>
    <row r="31" spans="1:21" s="117" customFormat="1" ht="13.5" thickBot="1" x14ac:dyDescent="0.25">
      <c r="A31" s="10"/>
      <c r="B31" s="11"/>
      <c r="C31" s="11"/>
      <c r="D31" s="116" t="s">
        <v>41</v>
      </c>
      <c r="G31" s="35" t="s">
        <v>7</v>
      </c>
      <c r="H31" s="36"/>
      <c r="I31" s="118">
        <f>D29</f>
        <v>1192.9500000000003</v>
      </c>
      <c r="J31" s="118"/>
      <c r="K31" s="44" t="s">
        <v>42</v>
      </c>
      <c r="L31" s="44"/>
      <c r="M31" s="119"/>
      <c r="N31" s="44"/>
      <c r="O31" s="44"/>
    </row>
    <row r="32" spans="1:21" ht="14.25" thickTop="1" thickBot="1" x14ac:dyDescent="0.25">
      <c r="A32" s="10"/>
      <c r="B32" s="11"/>
      <c r="C32" s="11"/>
      <c r="D32" s="144">
        <v>315.04000000000002</v>
      </c>
      <c r="G32" s="48"/>
      <c r="H32" s="36"/>
      <c r="I32" s="120">
        <f>ROUND(I31/D38*D35,2)</f>
        <v>99.36</v>
      </c>
      <c r="J32" s="120"/>
      <c r="K32" s="44" t="s">
        <v>43</v>
      </c>
      <c r="L32" s="44"/>
      <c r="M32" s="119"/>
      <c r="N32" s="44"/>
      <c r="O32" s="44"/>
      <c r="Q32" s="55" t="s">
        <v>19</v>
      </c>
    </row>
    <row r="33" spans="1:20" ht="14.25" thickTop="1" thickBot="1" x14ac:dyDescent="0.25">
      <c r="A33" s="10"/>
      <c r="B33" s="11"/>
      <c r="C33" s="11"/>
      <c r="D33" s="111"/>
      <c r="G33" s="48"/>
      <c r="H33" s="49" t="s">
        <v>17</v>
      </c>
      <c r="I33" s="121">
        <f>D32*D35</f>
        <v>9577.2160000000003</v>
      </c>
      <c r="J33" s="120"/>
      <c r="K33" s="44" t="s">
        <v>44</v>
      </c>
      <c r="L33" s="44"/>
      <c r="M33" s="119"/>
      <c r="N33" s="44"/>
      <c r="O33" s="44"/>
      <c r="P33" s="18"/>
      <c r="Q33" s="59" t="s">
        <v>45</v>
      </c>
      <c r="R33" s="17" t="s">
        <v>11</v>
      </c>
      <c r="S33" s="17"/>
      <c r="T33" s="17"/>
    </row>
    <row r="34" spans="1:20" x14ac:dyDescent="0.2">
      <c r="A34" s="10"/>
      <c r="B34" s="11"/>
      <c r="C34" s="11"/>
      <c r="D34" s="14" t="s">
        <v>6</v>
      </c>
      <c r="G34" s="48"/>
      <c r="H34" s="49"/>
      <c r="I34" s="120">
        <f>I32+I33</f>
        <v>9676.5760000000009</v>
      </c>
      <c r="J34" s="120"/>
      <c r="K34" s="44" t="s">
        <v>46</v>
      </c>
      <c r="L34" s="44"/>
      <c r="M34" s="119"/>
      <c r="N34" s="44"/>
      <c r="O34" s="44"/>
      <c r="P34" s="18"/>
      <c r="Q34" s="62" t="s">
        <v>47</v>
      </c>
      <c r="R34" s="62" t="s">
        <v>48</v>
      </c>
      <c r="S34" s="122" t="s">
        <v>49</v>
      </c>
      <c r="T34" s="63"/>
    </row>
    <row r="35" spans="1:20" x14ac:dyDescent="0.2">
      <c r="A35" s="10"/>
      <c r="B35" s="11"/>
      <c r="C35" s="11"/>
      <c r="D35" s="51">
        <v>30.4</v>
      </c>
      <c r="G35" s="40">
        <f>VLOOKUP(I34,Q17:U27,5)</f>
        <v>3</v>
      </c>
      <c r="H35" s="41" t="s">
        <v>9</v>
      </c>
      <c r="I35" s="120">
        <f>VLOOKUP(I34,Q17:R27,1)</f>
        <v>7168.52</v>
      </c>
      <c r="J35" s="120"/>
      <c r="K35" s="44" t="s">
        <v>10</v>
      </c>
      <c r="L35" s="44"/>
      <c r="M35" s="119"/>
      <c r="N35" s="44"/>
      <c r="O35" s="44"/>
      <c r="P35" s="18" t="s">
        <v>28</v>
      </c>
      <c r="Q35" s="62" t="s">
        <v>50</v>
      </c>
      <c r="R35" s="62" t="s">
        <v>50</v>
      </c>
      <c r="S35" s="122" t="s">
        <v>51</v>
      </c>
      <c r="T35" s="72" t="s">
        <v>28</v>
      </c>
    </row>
    <row r="36" spans="1:20" ht="13.5" thickBot="1" x14ac:dyDescent="0.25">
      <c r="A36" s="10"/>
      <c r="B36" s="11"/>
      <c r="C36" s="11"/>
      <c r="D36" s="47"/>
      <c r="G36" s="48"/>
      <c r="H36" s="49" t="s">
        <v>14</v>
      </c>
      <c r="I36" s="121">
        <f>VLOOKUP(I34,Q17:T27,4)</f>
        <v>10.88</v>
      </c>
      <c r="J36" s="120"/>
      <c r="K36" s="44" t="s">
        <v>15</v>
      </c>
      <c r="L36" s="44"/>
      <c r="M36" s="119"/>
      <c r="N36" s="44"/>
      <c r="O36" s="44"/>
      <c r="P36" s="18">
        <v>1</v>
      </c>
      <c r="Q36" s="77">
        <v>0.01</v>
      </c>
      <c r="R36" s="77">
        <v>1768.96</v>
      </c>
      <c r="S36" s="123">
        <v>536.22</v>
      </c>
      <c r="T36" s="79">
        <v>1</v>
      </c>
    </row>
    <row r="37" spans="1:20" x14ac:dyDescent="0.2">
      <c r="A37" s="10"/>
      <c r="B37" s="11"/>
      <c r="C37" s="11"/>
      <c r="D37" s="14" t="s">
        <v>52</v>
      </c>
      <c r="G37" s="48"/>
      <c r="H37" s="49"/>
      <c r="I37" s="120">
        <f>(I34-I35)*(I36/100)</f>
        <v>272.87649280000005</v>
      </c>
      <c r="J37" s="120"/>
      <c r="K37" s="44" t="s">
        <v>16</v>
      </c>
      <c r="L37" s="44"/>
      <c r="M37" s="119"/>
      <c r="N37" s="44"/>
      <c r="O37" s="44"/>
      <c r="P37" s="18">
        <v>2</v>
      </c>
      <c r="Q37" s="77">
        <f t="shared" ref="Q37:Q46" si="1">+R36+0.01</f>
        <v>1768.97</v>
      </c>
      <c r="R37" s="77">
        <v>2653.38</v>
      </c>
      <c r="S37" s="123">
        <v>536.22</v>
      </c>
      <c r="T37" s="79">
        <v>2</v>
      </c>
    </row>
    <row r="38" spans="1:20" ht="13.5" thickBot="1" x14ac:dyDescent="0.25">
      <c r="A38" s="10"/>
      <c r="B38" s="11"/>
      <c r="C38" s="11"/>
      <c r="D38" s="124">
        <v>365</v>
      </c>
      <c r="G38" s="48"/>
      <c r="H38" s="49" t="s">
        <v>17</v>
      </c>
      <c r="I38" s="121">
        <f>VLOOKUP(I34,Q17:T27,3)</f>
        <v>420.95</v>
      </c>
      <c r="J38" s="120"/>
      <c r="K38" s="44" t="s">
        <v>18</v>
      </c>
      <c r="L38" s="44"/>
      <c r="M38" s="119"/>
      <c r="N38" s="44"/>
      <c r="O38" s="44"/>
      <c r="P38" s="18">
        <v>3</v>
      </c>
      <c r="Q38" s="77">
        <f t="shared" si="1"/>
        <v>2653.3900000000003</v>
      </c>
      <c r="R38" s="77">
        <v>3472.84</v>
      </c>
      <c r="S38" s="123">
        <v>536.22</v>
      </c>
      <c r="T38" s="79">
        <v>3</v>
      </c>
    </row>
    <row r="39" spans="1:20" ht="13.5" thickBot="1" x14ac:dyDescent="0.25">
      <c r="A39" s="10"/>
      <c r="B39" s="11"/>
      <c r="C39" s="11"/>
      <c r="D39" s="116" t="s">
        <v>53</v>
      </c>
      <c r="G39" s="48"/>
      <c r="H39" s="49"/>
      <c r="I39" s="120">
        <f>I37+I38</f>
        <v>693.8264928000001</v>
      </c>
      <c r="J39" s="120"/>
      <c r="K39" s="44" t="s">
        <v>20</v>
      </c>
      <c r="L39" s="44"/>
      <c r="M39" s="119"/>
      <c r="N39" s="44"/>
      <c r="O39" s="44"/>
      <c r="P39" s="18">
        <v>4</v>
      </c>
      <c r="Q39" s="77">
        <f t="shared" si="1"/>
        <v>3472.8500000000004</v>
      </c>
      <c r="R39" s="77">
        <v>3537.87</v>
      </c>
      <c r="S39" s="123">
        <v>536.22</v>
      </c>
      <c r="T39" s="79">
        <v>4</v>
      </c>
    </row>
    <row r="40" spans="1:20" ht="14.25" thickTop="1" thickBot="1" x14ac:dyDescent="0.25">
      <c r="A40" s="10"/>
      <c r="B40" s="11"/>
      <c r="C40" s="11"/>
      <c r="D40" s="145" t="s">
        <v>54</v>
      </c>
      <c r="G40" s="40">
        <f>IF(I40&lt;&gt;0,1,2)</f>
        <v>1</v>
      </c>
      <c r="H40" s="49" t="s">
        <v>9</v>
      </c>
      <c r="I40" s="121">
        <f>IF(D40="N",0,VLOOKUP(I34,Q36:S46,3))</f>
        <v>536.22</v>
      </c>
      <c r="J40" s="120"/>
      <c r="K40" s="44" t="s">
        <v>21</v>
      </c>
      <c r="L40" s="44"/>
      <c r="M40" s="119"/>
      <c r="N40" s="44"/>
      <c r="O40" s="44"/>
      <c r="P40" s="18">
        <v>5</v>
      </c>
      <c r="Q40" s="77">
        <f t="shared" si="1"/>
        <v>3537.88</v>
      </c>
      <c r="R40" s="77">
        <v>4446.1499999999996</v>
      </c>
      <c r="S40" s="123">
        <v>536.22</v>
      </c>
      <c r="T40" s="79">
        <v>5</v>
      </c>
    </row>
    <row r="41" spans="1:20" s="125" customFormat="1" ht="16.5" thickTop="1" x14ac:dyDescent="0.25">
      <c r="A41" s="10"/>
      <c r="B41" s="11"/>
      <c r="C41" s="11"/>
      <c r="D41" s="60" t="s">
        <v>35</v>
      </c>
      <c r="G41" s="126"/>
      <c r="H41" s="127"/>
      <c r="I41" s="128">
        <f>IF(I39-I40&lt;0,0,I39-I40)</f>
        <v>157.60649280000007</v>
      </c>
      <c r="J41" s="128"/>
      <c r="K41" s="129" t="s">
        <v>55</v>
      </c>
      <c r="L41" s="129"/>
      <c r="M41" s="130"/>
      <c r="N41" s="44"/>
      <c r="O41" s="44"/>
      <c r="P41" s="18">
        <v>6</v>
      </c>
      <c r="Q41" s="77">
        <f t="shared" si="1"/>
        <v>4446.16</v>
      </c>
      <c r="R41" s="77">
        <v>4717.18</v>
      </c>
      <c r="S41" s="123">
        <v>536.22</v>
      </c>
      <c r="T41" s="79">
        <v>6</v>
      </c>
    </row>
    <row r="42" spans="1:20" x14ac:dyDescent="0.2">
      <c r="D42" s="131">
        <f>I55</f>
        <v>129.79</v>
      </c>
      <c r="G42" s="48"/>
      <c r="I42" s="132"/>
      <c r="J42" s="132"/>
      <c r="K42" s="108"/>
      <c r="L42" s="108"/>
      <c r="M42" s="108"/>
      <c r="N42" s="108"/>
      <c r="O42" s="108"/>
      <c r="P42" s="18">
        <v>7</v>
      </c>
      <c r="Q42" s="77">
        <f t="shared" si="1"/>
        <v>4717.1900000000005</v>
      </c>
      <c r="R42" s="77">
        <v>5335.42</v>
      </c>
      <c r="S42" s="123">
        <v>536.22</v>
      </c>
      <c r="T42" s="79">
        <v>7</v>
      </c>
    </row>
    <row r="43" spans="1:20" x14ac:dyDescent="0.2">
      <c r="D43" s="133"/>
      <c r="G43" s="48"/>
      <c r="H43" s="31" t="s">
        <v>56</v>
      </c>
      <c r="I43" s="113"/>
      <c r="J43" s="113"/>
      <c r="K43" s="31"/>
      <c r="L43" s="31"/>
      <c r="M43" s="31"/>
      <c r="N43" s="32"/>
      <c r="O43" s="32"/>
      <c r="P43" s="18">
        <v>8</v>
      </c>
      <c r="Q43" s="77">
        <f t="shared" si="1"/>
        <v>5335.43</v>
      </c>
      <c r="R43" s="77">
        <v>6224.67</v>
      </c>
      <c r="S43" s="123">
        <v>536.22</v>
      </c>
      <c r="T43" s="97">
        <v>8</v>
      </c>
    </row>
    <row r="44" spans="1:20" x14ac:dyDescent="0.2">
      <c r="E44" s="134"/>
      <c r="G44" s="35" t="s">
        <v>7</v>
      </c>
      <c r="H44" s="36"/>
      <c r="I44" s="118">
        <f>D32*D35</f>
        <v>9577.2160000000003</v>
      </c>
      <c r="J44" s="118"/>
      <c r="K44" s="44" t="s">
        <v>44</v>
      </c>
      <c r="L44" s="44"/>
      <c r="M44" s="119"/>
      <c r="N44" s="44"/>
      <c r="O44" s="44"/>
      <c r="P44" s="18">
        <v>9</v>
      </c>
      <c r="Q44" s="77">
        <f t="shared" si="1"/>
        <v>6224.68</v>
      </c>
      <c r="R44" s="77">
        <v>7113.9</v>
      </c>
      <c r="S44" s="123">
        <v>536.22</v>
      </c>
      <c r="T44" s="79">
        <v>9</v>
      </c>
    </row>
    <row r="45" spans="1:20" x14ac:dyDescent="0.2">
      <c r="D45" s="135"/>
      <c r="E45" s="134"/>
      <c r="G45" s="48"/>
      <c r="H45" s="36"/>
      <c r="I45" s="120">
        <f>I44</f>
        <v>9577.2160000000003</v>
      </c>
      <c r="J45" s="120"/>
      <c r="K45" s="44" t="s">
        <v>46</v>
      </c>
      <c r="L45" s="44"/>
      <c r="M45" s="119"/>
      <c r="N45" s="44"/>
      <c r="O45" s="44"/>
      <c r="P45" s="18">
        <v>10</v>
      </c>
      <c r="Q45" s="77">
        <f t="shared" si="1"/>
        <v>7113.91</v>
      </c>
      <c r="R45" s="77">
        <v>11492.66</v>
      </c>
      <c r="S45" s="123">
        <v>536.22</v>
      </c>
      <c r="T45" s="79">
        <v>10</v>
      </c>
    </row>
    <row r="46" spans="1:20" x14ac:dyDescent="0.2">
      <c r="D46" s="133"/>
      <c r="G46" s="40">
        <f>VLOOKUP(I45,Q17:U27,5)</f>
        <v>3</v>
      </c>
      <c r="H46" s="41" t="s">
        <v>9</v>
      </c>
      <c r="I46" s="120">
        <f>VLOOKUP(I45,Q17:R27,1)</f>
        <v>7168.52</v>
      </c>
      <c r="J46" s="120"/>
      <c r="K46" s="44" t="s">
        <v>10</v>
      </c>
      <c r="L46" s="44"/>
      <c r="M46" s="119"/>
      <c r="N46" s="44"/>
      <c r="O46" s="44"/>
      <c r="P46" s="18">
        <v>11</v>
      </c>
      <c r="Q46" s="77">
        <f t="shared" si="1"/>
        <v>11492.67</v>
      </c>
      <c r="R46" s="77">
        <v>999999.99</v>
      </c>
      <c r="S46" s="123">
        <v>0</v>
      </c>
      <c r="T46" s="79">
        <v>11</v>
      </c>
    </row>
    <row r="47" spans="1:20" ht="13.5" thickBot="1" x14ac:dyDescent="0.25">
      <c r="D47" s="133"/>
      <c r="G47" s="48"/>
      <c r="H47" s="49" t="s">
        <v>14</v>
      </c>
      <c r="I47" s="121">
        <f>VLOOKUP(I45,Q17:T27,4)</f>
        <v>10.88</v>
      </c>
      <c r="J47" s="120"/>
      <c r="K47" s="44" t="s">
        <v>15</v>
      </c>
      <c r="L47" s="44"/>
      <c r="M47" s="119"/>
      <c r="N47" s="44"/>
      <c r="O47" s="44"/>
      <c r="P47" s="18"/>
    </row>
    <row r="48" spans="1:20" x14ac:dyDescent="0.2">
      <c r="D48" s="133"/>
      <c r="G48" s="48"/>
      <c r="H48" s="36"/>
      <c r="I48" s="120">
        <f>(I45-I46)*(I47/100)</f>
        <v>262.06612480000001</v>
      </c>
      <c r="J48" s="120"/>
      <c r="K48" s="44" t="s">
        <v>16</v>
      </c>
      <c r="L48" s="44"/>
      <c r="M48" s="119"/>
      <c r="N48" s="44"/>
      <c r="O48" s="44"/>
      <c r="P48" s="18"/>
    </row>
    <row r="49" spans="4:16" ht="13.5" thickBot="1" x14ac:dyDescent="0.25">
      <c r="D49" s="133"/>
      <c r="G49" s="48"/>
      <c r="H49" s="49" t="s">
        <v>17</v>
      </c>
      <c r="I49" s="121">
        <f>VLOOKUP(I45,Q17:T27,3)</f>
        <v>420.95</v>
      </c>
      <c r="J49" s="120"/>
      <c r="K49" s="44" t="s">
        <v>18</v>
      </c>
      <c r="L49" s="44"/>
      <c r="M49" s="119"/>
      <c r="N49" s="44"/>
      <c r="O49" s="44"/>
      <c r="P49" s="18"/>
    </row>
    <row r="50" spans="4:16" x14ac:dyDescent="0.2">
      <c r="D50" s="133"/>
      <c r="G50" s="48"/>
      <c r="H50" s="36"/>
      <c r="I50" s="136">
        <f>I48+I49</f>
        <v>683.01612479999994</v>
      </c>
      <c r="J50" s="136"/>
      <c r="K50" s="44" t="s">
        <v>20</v>
      </c>
      <c r="L50" s="44"/>
      <c r="M50" s="119"/>
      <c r="N50" s="44"/>
      <c r="O50" s="44"/>
      <c r="P50" s="18"/>
    </row>
    <row r="51" spans="4:16" ht="13.5" thickBot="1" x14ac:dyDescent="0.25">
      <c r="D51" s="133"/>
      <c r="G51" s="40">
        <f>IF(I51&lt;&gt;0,1,2)</f>
        <v>1</v>
      </c>
      <c r="H51" s="49" t="s">
        <v>9</v>
      </c>
      <c r="I51" s="137">
        <f>IF(D40="N",0,VLOOKUP(I45,Q36:S46,3))</f>
        <v>536.22</v>
      </c>
      <c r="J51" s="136"/>
      <c r="K51" s="44" t="s">
        <v>21</v>
      </c>
      <c r="L51" s="44"/>
      <c r="M51" s="119"/>
      <c r="N51" s="44"/>
      <c r="O51" s="44"/>
      <c r="P51" s="18"/>
    </row>
    <row r="52" spans="4:16" x14ac:dyDescent="0.2">
      <c r="D52" s="133"/>
      <c r="G52" s="48"/>
      <c r="H52" s="67"/>
      <c r="I52" s="128">
        <f>IF(I50-I51&lt;0,0,I50-I51)</f>
        <v>146.79612479999992</v>
      </c>
      <c r="J52" s="128"/>
      <c r="K52" s="129" t="s">
        <v>57</v>
      </c>
      <c r="L52" s="129"/>
      <c r="M52" s="130"/>
      <c r="N52" s="44"/>
      <c r="O52" s="44"/>
      <c r="P52" s="18"/>
    </row>
    <row r="53" spans="4:16" x14ac:dyDescent="0.2">
      <c r="D53" s="133"/>
      <c r="G53" s="66"/>
      <c r="I53" s="138"/>
      <c r="J53" s="138"/>
      <c r="K53" s="108"/>
      <c r="L53" s="108"/>
      <c r="M53" s="108"/>
      <c r="N53" s="108"/>
      <c r="O53" s="108"/>
    </row>
    <row r="54" spans="4:16" x14ac:dyDescent="0.2">
      <c r="D54" s="133"/>
      <c r="G54" s="66"/>
      <c r="I54" s="139">
        <f>I41-I52</f>
        <v>10.810368000000153</v>
      </c>
      <c r="J54" s="139"/>
      <c r="K54" s="108" t="s">
        <v>58</v>
      </c>
      <c r="L54" s="108"/>
      <c r="M54" s="108"/>
      <c r="N54" s="108"/>
      <c r="O54" s="108"/>
    </row>
    <row r="55" spans="4:16" ht="13.5" thickBot="1" x14ac:dyDescent="0.25">
      <c r="D55" s="133"/>
      <c r="G55" s="66"/>
      <c r="I55" s="140">
        <f>ROUND((I54/I32)*I31,2)</f>
        <v>129.79</v>
      </c>
      <c r="J55" s="141"/>
      <c r="K55" s="108" t="s">
        <v>59</v>
      </c>
      <c r="L55" s="108"/>
      <c r="M55" s="108"/>
      <c r="N55" s="108"/>
      <c r="O55" s="108"/>
    </row>
    <row r="56" spans="4:16" ht="13.5" thickTop="1" x14ac:dyDescent="0.2">
      <c r="D56" s="133"/>
      <c r="G56" s="66"/>
      <c r="I56" s="132"/>
      <c r="J56" s="132"/>
      <c r="K56" s="108"/>
      <c r="L56" s="108"/>
      <c r="M56" s="108"/>
      <c r="N56" s="108"/>
      <c r="O56" s="108"/>
    </row>
    <row r="57" spans="4:16" x14ac:dyDescent="0.2">
      <c r="D57" s="133"/>
      <c r="I57" s="132"/>
      <c r="J57" s="132"/>
      <c r="K57" s="108"/>
      <c r="L57" s="108"/>
      <c r="M57" s="108"/>
      <c r="N57" s="108"/>
      <c r="O57" s="108"/>
    </row>
    <row r="58" spans="4:16" x14ac:dyDescent="0.2">
      <c r="D58" s="60" t="s">
        <v>60</v>
      </c>
      <c r="I58" s="132"/>
      <c r="J58" s="132"/>
      <c r="K58" s="108"/>
      <c r="L58" s="108"/>
      <c r="M58" s="108"/>
      <c r="N58" s="108"/>
      <c r="O58" s="108"/>
    </row>
    <row r="59" spans="4:16" x14ac:dyDescent="0.2">
      <c r="D59" s="142">
        <f>D19+D42</f>
        <v>163.59</v>
      </c>
      <c r="I59" s="132"/>
      <c r="J59" s="132"/>
      <c r="K59" s="108"/>
      <c r="L59" s="108"/>
      <c r="M59" s="108"/>
      <c r="N59" s="108"/>
      <c r="O59" s="108"/>
    </row>
    <row r="60" spans="4:16" x14ac:dyDescent="0.2">
      <c r="D60" s="133"/>
      <c r="I60" s="132"/>
      <c r="J60" s="132"/>
      <c r="K60" s="108"/>
      <c r="L60" s="108"/>
      <c r="M60" s="108"/>
      <c r="N60" s="108"/>
      <c r="O60" s="108"/>
    </row>
    <row r="61" spans="4:16" x14ac:dyDescent="0.2">
      <c r="D61" s="133"/>
      <c r="I61" s="132"/>
      <c r="J61" s="132"/>
      <c r="K61" s="108"/>
      <c r="L61" s="108"/>
      <c r="M61" s="108"/>
      <c r="N61" s="108"/>
      <c r="O61" s="108"/>
    </row>
    <row r="62" spans="4:16" x14ac:dyDescent="0.2">
      <c r="D62" s="133"/>
      <c r="I62" s="132"/>
      <c r="J62" s="132"/>
      <c r="K62" s="108"/>
      <c r="L62" s="108"/>
      <c r="M62" s="108"/>
      <c r="N62" s="108"/>
      <c r="O62" s="108"/>
    </row>
    <row r="63" spans="4:16" x14ac:dyDescent="0.2">
      <c r="D63" s="133"/>
      <c r="I63" s="132"/>
      <c r="J63" s="132"/>
      <c r="K63" s="108"/>
      <c r="L63" s="108"/>
      <c r="M63" s="108"/>
      <c r="N63" s="108"/>
      <c r="O63" s="108"/>
    </row>
    <row r="64" spans="4:16" x14ac:dyDescent="0.2">
      <c r="D64" s="44"/>
      <c r="I64" s="132"/>
      <c r="J64" s="132"/>
      <c r="K64" s="108"/>
      <c r="L64" s="108"/>
      <c r="M64" s="108"/>
      <c r="N64" s="108"/>
      <c r="O64" s="108"/>
    </row>
    <row r="65" spans="4:15" x14ac:dyDescent="0.2">
      <c r="D65" s="44"/>
      <c r="I65" s="132"/>
      <c r="J65" s="132"/>
      <c r="K65" s="108"/>
      <c r="L65" s="108"/>
      <c r="M65" s="108"/>
      <c r="N65" s="108"/>
      <c r="O65" s="108"/>
    </row>
    <row r="66" spans="4:15" x14ac:dyDescent="0.2">
      <c r="D66" s="44"/>
      <c r="I66" s="132"/>
      <c r="J66" s="132"/>
      <c r="K66" s="135"/>
      <c r="L66" s="135"/>
      <c r="M66" s="135"/>
      <c r="N66" s="135"/>
      <c r="O66" s="135"/>
    </row>
    <row r="67" spans="4:15" x14ac:dyDescent="0.2">
      <c r="I67" s="132"/>
      <c r="J67" s="132"/>
      <c r="K67" s="135"/>
      <c r="L67" s="135"/>
      <c r="M67" s="135"/>
      <c r="N67" s="135"/>
      <c r="O67" s="135"/>
    </row>
    <row r="68" spans="4:15" x14ac:dyDescent="0.2">
      <c r="I68" s="132"/>
      <c r="J68" s="132"/>
      <c r="K68" s="135"/>
      <c r="L68" s="135"/>
      <c r="M68" s="135"/>
      <c r="N68" s="135"/>
      <c r="O68" s="135"/>
    </row>
    <row r="69" spans="4:15" x14ac:dyDescent="0.2">
      <c r="I69" s="138"/>
      <c r="J69" s="138"/>
      <c r="K69" s="135"/>
      <c r="L69" s="135"/>
      <c r="M69" s="135"/>
      <c r="N69" s="135"/>
      <c r="O69" s="135"/>
    </row>
    <row r="70" spans="4:15" x14ac:dyDescent="0.2">
      <c r="I70" s="138"/>
      <c r="J70" s="138"/>
      <c r="K70" s="135"/>
      <c r="L70" s="135"/>
      <c r="M70" s="135"/>
      <c r="N70" s="135"/>
      <c r="O70" s="135"/>
    </row>
    <row r="71" spans="4:15" x14ac:dyDescent="0.2">
      <c r="I71" s="138"/>
      <c r="J71" s="138"/>
      <c r="K71" s="135"/>
      <c r="L71" s="135"/>
      <c r="M71" s="135"/>
      <c r="N71" s="135"/>
      <c r="O71" s="135"/>
    </row>
    <row r="72" spans="4:15" x14ac:dyDescent="0.2">
      <c r="I72" s="138"/>
      <c r="J72" s="138"/>
      <c r="K72" s="135"/>
      <c r="L72" s="135"/>
      <c r="M72" s="135"/>
      <c r="N72" s="135"/>
      <c r="O72" s="135"/>
    </row>
    <row r="73" spans="4:15" x14ac:dyDescent="0.2">
      <c r="I73" s="138"/>
      <c r="J73" s="138"/>
      <c r="K73" s="135"/>
      <c r="L73" s="135"/>
      <c r="M73" s="135"/>
      <c r="N73" s="135"/>
      <c r="O73" s="135"/>
    </row>
    <row r="74" spans="4:15" x14ac:dyDescent="0.2">
      <c r="I74" s="138"/>
      <c r="J74" s="138"/>
      <c r="K74" s="135"/>
      <c r="L74" s="135"/>
      <c r="M74" s="135"/>
      <c r="N74" s="135"/>
      <c r="O74" s="135"/>
    </row>
    <row r="75" spans="4:15" x14ac:dyDescent="0.2">
      <c r="I75" s="138"/>
      <c r="J75" s="138"/>
      <c r="K75" s="135"/>
      <c r="L75" s="135"/>
      <c r="M75" s="135"/>
      <c r="N75" s="135"/>
      <c r="O75" s="135"/>
    </row>
    <row r="76" spans="4:15" x14ac:dyDescent="0.2">
      <c r="I76" s="138"/>
      <c r="J76" s="138"/>
      <c r="K76" s="135"/>
      <c r="L76" s="135"/>
      <c r="M76" s="135"/>
      <c r="N76" s="135"/>
      <c r="O76" s="135"/>
    </row>
    <row r="77" spans="4:15" x14ac:dyDescent="0.2">
      <c r="I77" s="138"/>
      <c r="J77" s="138"/>
      <c r="K77" s="135"/>
      <c r="L77" s="135"/>
      <c r="M77" s="135"/>
      <c r="N77" s="135"/>
      <c r="O77" s="135"/>
    </row>
    <row r="78" spans="4:15" x14ac:dyDescent="0.2">
      <c r="I78" s="138"/>
      <c r="J78" s="138"/>
      <c r="K78" s="135"/>
      <c r="L78" s="135"/>
      <c r="M78" s="135"/>
      <c r="N78" s="135"/>
      <c r="O78" s="135"/>
    </row>
    <row r="79" spans="4:15" x14ac:dyDescent="0.2">
      <c r="I79" s="138"/>
      <c r="J79" s="138"/>
      <c r="K79" s="135"/>
      <c r="L79" s="135"/>
      <c r="M79" s="135"/>
      <c r="N79" s="135"/>
      <c r="O79" s="135"/>
    </row>
    <row r="80" spans="4:15" x14ac:dyDescent="0.2">
      <c r="I80" s="138"/>
      <c r="J80" s="138"/>
      <c r="K80" s="135"/>
      <c r="L80" s="135"/>
      <c r="M80" s="135"/>
      <c r="N80" s="135"/>
      <c r="O80" s="135"/>
    </row>
    <row r="81" spans="9:15" x14ac:dyDescent="0.2">
      <c r="I81" s="138"/>
      <c r="J81" s="138"/>
      <c r="K81" s="135"/>
      <c r="L81" s="135"/>
      <c r="M81" s="135"/>
      <c r="N81" s="135"/>
      <c r="O81" s="135"/>
    </row>
    <row r="82" spans="9:15" x14ac:dyDescent="0.2">
      <c r="I82" s="138"/>
      <c r="J82" s="138"/>
      <c r="K82" s="135"/>
      <c r="L82" s="135"/>
      <c r="M82" s="135"/>
      <c r="N82" s="135"/>
      <c r="O82" s="135"/>
    </row>
    <row r="83" spans="9:15" x14ac:dyDescent="0.2">
      <c r="I83" s="138"/>
      <c r="J83" s="138"/>
      <c r="K83" s="135"/>
      <c r="L83" s="135"/>
      <c r="M83" s="135"/>
      <c r="N83" s="135"/>
      <c r="O83" s="135"/>
    </row>
    <row r="84" spans="9:15" x14ac:dyDescent="0.2">
      <c r="I84" s="143"/>
      <c r="J84" s="143"/>
    </row>
  </sheetData>
  <pageMargins left="0.5" right="0.34" top="0.4" bottom="0.45" header="0" footer="0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ISR Mensual 2026</vt:lpstr>
      <vt:lpstr>'ISR Mensual 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2026-01-10T03:26:16Z</dcterms:created>
  <dcterms:modified xsi:type="dcterms:W3CDTF">2026-01-10T03:31:09Z</dcterms:modified>
</cp:coreProperties>
</file>